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0730" windowHeight="11760"/>
  </bookViews>
  <sheets>
    <sheet name="REP_FNDE" sheetId="3" r:id="rId1"/>
  </sheets>
  <definedNames>
    <definedName name="_xlnm._FilterDatabase" localSheetId="0" hidden="1">REP_FNDE!$A$9:$R$28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2E58B921_18B6_49A1_A839_7668A44E1D3F_.wvu.FilterData" localSheetId="0" hidden="1">REP_FNDE!$A$9:$R$28</definedName>
  </definedNames>
  <calcPr calcId="144525"/>
  <customWorkbookViews>
    <customWorkbookView name="Filtro 2" guid="{95BA1280-5D7C-418F-9D84-731978F0DE07}" maximized="1" windowWidth="0" windowHeight="0" activeSheetId="0"/>
    <customWorkbookView name="Filtro 1" guid="{2E58B921-18B6-49A1-A839-7668A44E1D3F}" maximized="1" windowWidth="0" windowHeight="0" activeSheetId="0"/>
    <customWorkbookView name="Mauro" guid="{84E0088C-4633-43E6-AF43-A6438DCDB58D}" maximized="1" windowWidth="0" windowHeight="0" activeSheetId="0"/>
    <customWorkbookView name="Marta" guid="{5FD667A5-1084-405D-BE3B-FE4C2ABA69B5}" maximized="1" windowWidth="0" windowHeight="0" activeSheetId="0"/>
  </customWorkbookViews>
</workbook>
</file>

<file path=xl/calcChain.xml><?xml version="1.0" encoding="utf-8"?>
<calcChain xmlns="http://schemas.openxmlformats.org/spreadsheetml/2006/main">
  <c r="N6" i="3" l="1"/>
  <c r="K6" i="3"/>
  <c r="J6" i="3"/>
  <c r="I6" i="3"/>
  <c r="H6" i="3"/>
  <c r="G6" i="3"/>
  <c r="E6" i="3"/>
  <c r="F6" i="3"/>
  <c r="M6" i="3"/>
  <c r="L6" i="3"/>
  <c r="D28" i="3"/>
  <c r="P22" i="3"/>
  <c r="B17" i="3"/>
  <c r="D12" i="3"/>
  <c r="B27" i="3"/>
  <c r="D22" i="3"/>
  <c r="P16" i="3"/>
  <c r="B11" i="3"/>
  <c r="B25" i="3"/>
  <c r="D20" i="3"/>
  <c r="P14" i="3"/>
  <c r="P24" i="3"/>
  <c r="B19" i="3"/>
  <c r="D14" i="3"/>
  <c r="M9" i="3"/>
  <c r="Q25" i="3"/>
  <c r="A20" i="3"/>
  <c r="O13" i="3"/>
  <c r="B21" i="3"/>
  <c r="P10" i="3"/>
  <c r="O21" i="3"/>
  <c r="B14" i="3"/>
  <c r="D26" i="3"/>
  <c r="B15" i="3"/>
  <c r="D21" i="3"/>
  <c r="D13" i="3"/>
  <c r="Q28" i="3"/>
  <c r="B22" i="3"/>
  <c r="A17" i="3"/>
  <c r="C11" i="3"/>
  <c r="P26" i="3"/>
  <c r="D16" i="3"/>
  <c r="A9" i="3"/>
  <c r="O26" i="3"/>
  <c r="O18" i="3"/>
  <c r="O10" i="3"/>
  <c r="K9" i="3"/>
  <c r="P20" i="3"/>
  <c r="D10" i="3"/>
  <c r="Q9" i="3"/>
  <c r="A25" i="3"/>
  <c r="Q17" i="3"/>
  <c r="F9" i="3"/>
  <c r="D24" i="3"/>
  <c r="P12" i="3"/>
  <c r="C16" i="3"/>
  <c r="D18" i="3"/>
  <c r="Q20" i="3"/>
  <c r="C27" i="3"/>
  <c r="C22" i="3"/>
  <c r="A13" i="3"/>
  <c r="C19" i="3"/>
  <c r="B13" i="3"/>
  <c r="P28" i="3"/>
  <c r="I9" i="3"/>
  <c r="P18" i="3"/>
  <c r="C24" i="3"/>
  <c r="A12" i="3"/>
  <c r="P9" i="3"/>
  <c r="P15" i="3"/>
  <c r="A28" i="3"/>
  <c r="B26" i="3"/>
  <c r="O17" i="3"/>
  <c r="B28" i="3"/>
  <c r="O19" i="3"/>
  <c r="A11" i="3"/>
  <c r="D9" i="3"/>
  <c r="D27" i="3"/>
  <c r="B20" i="3"/>
  <c r="B23" i="3"/>
  <c r="P23" i="3"/>
  <c r="Q24" i="3"/>
  <c r="O22" i="3"/>
  <c r="B18" i="3"/>
  <c r="C21" i="3"/>
  <c r="B9" i="3"/>
  <c r="D15" i="3"/>
  <c r="Q13" i="3"/>
  <c r="C20" i="3"/>
  <c r="L9" i="3"/>
  <c r="B16" i="3"/>
  <c r="C9" i="3"/>
  <c r="O20" i="3"/>
  <c r="C25" i="3"/>
  <c r="B10" i="3"/>
  <c r="C28" i="3"/>
  <c r="A10" i="3"/>
  <c r="C23" i="3"/>
  <c r="G9" i="3"/>
  <c r="D25" i="3"/>
  <c r="Q21" i="3"/>
  <c r="O9" i="3"/>
  <c r="C17" i="3"/>
  <c r="A27" i="3"/>
  <c r="A23" i="3"/>
  <c r="Q11" i="3"/>
  <c r="A26" i="3"/>
  <c r="Q18" i="3"/>
  <c r="Q19" i="3"/>
  <c r="H9" i="3"/>
  <c r="O27" i="3"/>
  <c r="Q12" i="3"/>
  <c r="P13" i="3"/>
  <c r="Q14" i="3"/>
  <c r="B24" i="3"/>
  <c r="A15" i="3"/>
  <c r="Q16" i="3"/>
  <c r="O24" i="3"/>
  <c r="C14" i="3"/>
  <c r="O15" i="3"/>
  <c r="A24" i="3"/>
  <c r="J9" i="3"/>
  <c r="A14" i="3"/>
  <c r="P21" i="3"/>
  <c r="O28" i="3"/>
  <c r="P11" i="3"/>
  <c r="Q27" i="3"/>
  <c r="C12" i="3"/>
  <c r="D17" i="3"/>
  <c r="D19" i="3"/>
  <c r="P17" i="3"/>
  <c r="Q26" i="3"/>
  <c r="O11" i="3"/>
  <c r="C10" i="3"/>
  <c r="B12" i="3"/>
  <c r="A19" i="3"/>
  <c r="C18" i="3"/>
  <c r="O14" i="3"/>
  <c r="O16" i="3"/>
  <c r="O25" i="3"/>
  <c r="D11" i="3"/>
  <c r="Q10" i="3"/>
  <c r="O12" i="3"/>
  <c r="A21" i="3"/>
  <c r="N9" i="3"/>
  <c r="D23" i="3"/>
  <c r="Q23" i="3"/>
  <c r="O23" i="3"/>
  <c r="E9" i="3"/>
  <c r="P27" i="3"/>
  <c r="C15" i="3"/>
  <c r="A18" i="3"/>
  <c r="C26" i="3"/>
  <c r="A22" i="3"/>
  <c r="P25" i="3"/>
  <c r="Q22" i="3"/>
  <c r="P19" i="3"/>
  <c r="Q15" i="3"/>
  <c r="A16" i="3"/>
  <c r="C13" i="3"/>
  <c r="C8" i="3" l="1"/>
  <c r="R23" i="3"/>
  <c r="R12" i="3"/>
  <c r="R25" i="3"/>
  <c r="R16" i="3"/>
  <c r="R14" i="3"/>
  <c r="R11" i="3"/>
  <c r="R28" i="3"/>
  <c r="R15" i="3"/>
  <c r="R24" i="3"/>
  <c r="R27" i="3"/>
  <c r="R20" i="3"/>
  <c r="R22" i="3"/>
  <c r="R19" i="3"/>
  <c r="R17" i="3"/>
  <c r="R10" i="3"/>
  <c r="R18" i="3"/>
  <c r="R26" i="3"/>
  <c r="R21" i="3"/>
  <c r="R13" i="3"/>
  <c r="R6" i="3" l="1"/>
</calcChain>
</file>

<file path=xl/sharedStrings.xml><?xml version="1.0" encoding="utf-8"?>
<sst xmlns="http://schemas.openxmlformats.org/spreadsheetml/2006/main" count="26" uniqueCount="24">
  <si>
    <t>7º REPASSE FNDE PNAE  - TOCANTINS  2019</t>
  </si>
  <si>
    <t>SUBTOTAIS:</t>
  </si>
  <si>
    <t>SUBT GERAL:</t>
  </si>
  <si>
    <t xml:space="preserve">REGIONAL </t>
  </si>
  <si>
    <t>MUNICÍPIO</t>
  </si>
  <si>
    <t>CNPJ</t>
  </si>
  <si>
    <t>ED. INF. CRECHE</t>
  </si>
  <si>
    <t>ED. INF. PRÉ ESCOLA</t>
  </si>
  <si>
    <t>ENSINO FUNDAMENTAL INTEGRAL</t>
  </si>
  <si>
    <t>ENSINO FUNDAMENTAL NORMAL</t>
  </si>
  <si>
    <t>AEE</t>
  </si>
  <si>
    <t>ENSINO MEDIO INTEGRAL</t>
  </si>
  <si>
    <t>ENSINO MEDIO NORMAL</t>
  </si>
  <si>
    <t>INDíGENA</t>
  </si>
  <si>
    <t>QUILOMB. NORMAL</t>
  </si>
  <si>
    <t>EJA PARCIAL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</si>
  <si>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</si>
  <si>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</si>
  <si>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</si>
  <si>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</si>
  <si>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</si>
  <si>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</si>
  <si>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Núcleo de Alimentação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</si>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</sst>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rgb="FF000000"/>
      <name val="Arial"/>
    </font>
    <font>
      <b/>
      <sz val="12"/>
      <name val="Arial"/>
    </font>
    <font>
      <sz val="10"/>
      <name val="Arial"/>
    </font>
    <font>
      <b/>
      <sz val="36"/>
      <color rgb="FF000000"/>
      <name val="Arial"/>
    </font>
    <font>
      <b/>
      <sz val="10"/>
      <name val="Arial"/>
    </font>
    <font>
      <b/>
      <sz val="36"/>
      <color rgb="FF999999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1"/>
      <color rgb="FF000000"/>
      <name val="Calibri"/>
    </font>
    <font>
      <b/>
      <sz val="14"/>
      <name val="Arial"/>
    </font>
    <font>
      <b/>
      <sz val="10"/>
      <name val="Arial"/>
    </font>
    <font>
      <b/>
      <sz val="10"/>
      <color rgb="FF000000"/>
      <name val="Arial"/>
    </font>
    <font>
      <sz val="6"/>
      <name val="Arial"/>
    </font>
    <font>
      <sz val="10"/>
      <color rgb="FF000000"/>
      <name val="Arial"/>
    </font>
    <font>
      <b/>
      <sz val="36"/>
      <color rgb="FF000000"/>
      <name val="Arial"/>
      <family val="2"/>
    </font>
    <font>
      <sz val="10"/>
      <color rgb="FF000000"/>
      <name val="Arial"/>
      <family val="2"/>
    </font>
    <font>
      <b/>
      <sz val="14"/>
      <color rgb="FFFFFFFF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EDE9CF"/>
        <bgColor rgb="FFEDE9CF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FFF2CC"/>
        <bgColor rgb="FFFFF2CC"/>
      </patternFill>
    </fill>
    <fill>
      <patternFill patternType="solid">
        <fgColor rgb="FF00FFFF"/>
        <bgColor rgb="FF00FFFF"/>
      </patternFill>
    </fill>
    <fill>
      <patternFill patternType="solid">
        <fgColor rgb="FFFF9900"/>
        <bgColor rgb="FFFF9900"/>
      </patternFill>
    </fill>
    <fill>
      <patternFill patternType="solid">
        <fgColor rgb="FFD0E0E3"/>
        <bgColor rgb="FFD0E0E3"/>
      </patternFill>
    </fill>
    <fill>
      <patternFill patternType="solid">
        <fgColor rgb="FFB7DEE8"/>
        <bgColor rgb="FFB7DEE8"/>
      </patternFill>
    </fill>
    <fill>
      <patternFill patternType="solid">
        <fgColor rgb="FF0C343D"/>
        <bgColor rgb="FF0C343D"/>
      </patternFill>
    </fill>
    <fill>
      <patternFill patternType="solid">
        <fgColor theme="1"/>
        <bgColor rgb="FF666666"/>
      </patternFill>
    </fill>
    <fill>
      <patternFill patternType="solid">
        <fgColor theme="1"/>
        <bgColor rgb="FF434343"/>
      </patternFill>
    </fill>
  </fills>
  <borders count="17">
    <border>
      <left/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 style="thin">
        <color rgb="FF3C78D8"/>
      </left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 style="thin">
        <color rgb="FF3C78D8"/>
      </left>
      <right style="thin">
        <color rgb="FF3C78D8"/>
      </right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4"/>
  </cellStyleXfs>
  <cellXfs count="53">
    <xf numFmtId="0" fontId="0" fillId="0" borderId="0" xfId="0" applyFont="1" applyAlignment="1"/>
    <xf numFmtId="0" fontId="12" fillId="10" borderId="1" xfId="0" applyFont="1" applyFill="1" applyBorder="1"/>
    <xf numFmtId="0" fontId="12" fillId="10" borderId="2" xfId="0" applyFont="1" applyFill="1" applyBorder="1" applyAlignment="1"/>
    <xf numFmtId="2" fontId="12" fillId="10" borderId="2" xfId="0" applyNumberFormat="1" applyFont="1" applyFill="1" applyBorder="1" applyAlignment="1"/>
    <xf numFmtId="4" fontId="12" fillId="10" borderId="2" xfId="0" applyNumberFormat="1" applyFont="1" applyFill="1" applyBorder="1" applyAlignment="1"/>
    <xf numFmtId="49" fontId="12" fillId="10" borderId="2" xfId="0" applyNumberFormat="1" applyFont="1" applyFill="1" applyBorder="1" applyAlignment="1"/>
    <xf numFmtId="0" fontId="15" fillId="0" borderId="4" xfId="1" applyFont="1" applyBorder="1" applyAlignment="1">
      <alignment vertical="center"/>
    </xf>
    <xf numFmtId="0" fontId="0" fillId="0" borderId="4" xfId="0" applyFont="1" applyBorder="1" applyAlignment="1"/>
    <xf numFmtId="0" fontId="1" fillId="3" borderId="4" xfId="0" applyFont="1" applyFill="1" applyBorder="1" applyAlignment="1">
      <alignment horizontal="center" wrapText="1"/>
    </xf>
    <xf numFmtId="0" fontId="2" fillId="3" borderId="4" xfId="0" applyFont="1" applyFill="1" applyBorder="1"/>
    <xf numFmtId="0" fontId="5" fillId="0" borderId="4" xfId="0" applyFont="1" applyFill="1" applyBorder="1" applyAlignment="1">
      <alignment horizontal="left" vertical="center"/>
    </xf>
    <xf numFmtId="49" fontId="5" fillId="0" borderId="4" xfId="0" applyNumberFormat="1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/>
    </xf>
    <xf numFmtId="4" fontId="7" fillId="0" borderId="4" xfId="0" applyNumberFormat="1" applyFont="1" applyFill="1" applyBorder="1" applyAlignment="1">
      <alignment vertical="center"/>
    </xf>
    <xf numFmtId="0" fontId="0" fillId="0" borderId="0" xfId="0" applyFont="1" applyFill="1" applyAlignment="1"/>
    <xf numFmtId="0" fontId="1" fillId="0" borderId="4" xfId="0" applyFont="1" applyBorder="1" applyAlignment="1">
      <alignment horizontal="center" wrapText="1"/>
    </xf>
    <xf numFmtId="0" fontId="1" fillId="4" borderId="10" xfId="0" applyFont="1" applyFill="1" applyBorder="1" applyAlignment="1">
      <alignment horizontal="center" vertical="center" wrapText="1"/>
    </xf>
    <xf numFmtId="4" fontId="4" fillId="5" borderId="11" xfId="0" applyNumberFormat="1" applyFont="1" applyFill="1" applyBorder="1" applyAlignment="1">
      <alignment horizontal="center" vertical="center" wrapText="1"/>
    </xf>
    <xf numFmtId="4" fontId="4" fillId="6" borderId="11" xfId="0" applyNumberFormat="1" applyFont="1" applyFill="1" applyBorder="1" applyAlignment="1">
      <alignment horizontal="center" vertical="center" wrapText="1"/>
    </xf>
    <xf numFmtId="4" fontId="4" fillId="7" borderId="11" xfId="0" applyNumberFormat="1" applyFont="1" applyFill="1" applyBorder="1" applyAlignment="1">
      <alignment horizontal="center" vertical="center" wrapText="1"/>
    </xf>
    <xf numFmtId="4" fontId="7" fillId="12" borderId="12" xfId="0" applyNumberFormat="1" applyFont="1" applyFill="1" applyBorder="1" applyAlignment="1">
      <alignment vertical="center"/>
    </xf>
    <xf numFmtId="0" fontId="1" fillId="8" borderId="15" xfId="0" applyFont="1" applyFill="1" applyBorder="1" applyAlignment="1">
      <alignment horizontal="center" vertical="center" wrapText="1"/>
    </xf>
    <xf numFmtId="0" fontId="1" fillId="8" borderId="14" xfId="0" applyFont="1" applyFill="1" applyBorder="1" applyAlignment="1">
      <alignment horizontal="center" vertical="center" wrapText="1"/>
    </xf>
    <xf numFmtId="0" fontId="9" fillId="9" borderId="14" xfId="0" applyFont="1" applyFill="1" applyBorder="1" applyAlignment="1">
      <alignment horizontal="center" vertical="center" wrapText="1"/>
    </xf>
    <xf numFmtId="0" fontId="1" fillId="9" borderId="14" xfId="0" applyFont="1" applyFill="1" applyBorder="1" applyAlignment="1">
      <alignment horizontal="center" vertical="center" wrapText="1"/>
    </xf>
    <xf numFmtId="0" fontId="10" fillId="9" borderId="14" xfId="0" applyFont="1" applyFill="1" applyBorder="1" applyAlignment="1">
      <alignment horizontal="center" vertical="center" wrapText="1"/>
    </xf>
    <xf numFmtId="49" fontId="8" fillId="9" borderId="14" xfId="0" applyNumberFormat="1" applyFont="1" applyFill="1" applyBorder="1" applyAlignment="1">
      <alignment horizontal="center" textRotation="90"/>
    </xf>
    <xf numFmtId="0" fontId="8" fillId="9" borderId="14" xfId="0" applyFont="1" applyFill="1" applyBorder="1" applyAlignment="1">
      <alignment horizontal="center" textRotation="90" wrapText="1"/>
    </xf>
    <xf numFmtId="0" fontId="11" fillId="9" borderId="1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2" fontId="2" fillId="2" borderId="7" xfId="0" applyNumberFormat="1" applyFont="1" applyFill="1" applyBorder="1" applyAlignment="1">
      <alignment vertical="center"/>
    </xf>
    <xf numFmtId="4" fontId="2" fillId="2" borderId="7" xfId="0" applyNumberFormat="1" applyFont="1" applyFill="1" applyBorder="1" applyAlignment="1">
      <alignment vertical="center"/>
    </xf>
    <xf numFmtId="4" fontId="2" fillId="2" borderId="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" fontId="2" fillId="2" borderId="9" xfId="0" applyNumberFormat="1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2" fillId="3" borderId="7" xfId="0" applyFont="1" applyFill="1" applyBorder="1" applyAlignment="1">
      <alignment vertical="center"/>
    </xf>
    <xf numFmtId="2" fontId="2" fillId="3" borderId="7" xfId="0" applyNumberFormat="1" applyFont="1" applyFill="1" applyBorder="1" applyAlignment="1">
      <alignment vertical="center"/>
    </xf>
    <xf numFmtId="4" fontId="2" fillId="3" borderId="7" xfId="0" applyNumberFormat="1" applyFont="1" applyFill="1" applyBorder="1" applyAlignment="1">
      <alignment vertical="center"/>
    </xf>
    <xf numFmtId="4" fontId="2" fillId="3" borderId="7" xfId="0" applyNumberFormat="1" applyFont="1" applyFill="1" applyBorder="1" applyAlignment="1">
      <alignment horizontal="center" vertical="center"/>
    </xf>
    <xf numFmtId="49" fontId="2" fillId="3" borderId="7" xfId="0" applyNumberFormat="1" applyFont="1" applyFill="1" applyBorder="1" applyAlignment="1">
      <alignment horizontal="center" vertical="center"/>
    </xf>
    <xf numFmtId="4" fontId="2" fillId="3" borderId="9" xfId="0" applyNumberFormat="1" applyFont="1" applyFill="1" applyBorder="1" applyAlignment="1">
      <alignment vertical="center"/>
    </xf>
    <xf numFmtId="0" fontId="14" fillId="4" borderId="5" xfId="1" applyFont="1" applyFill="1" applyBorder="1" applyAlignment="1">
      <alignment horizontal="center" vertical="center"/>
    </xf>
    <xf numFmtId="0" fontId="14" fillId="4" borderId="6" xfId="1" applyFont="1" applyFill="1" applyBorder="1" applyAlignment="1">
      <alignment horizontal="center" vertical="center"/>
    </xf>
    <xf numFmtId="0" fontId="14" fillId="4" borderId="13" xfId="1" applyFont="1" applyFill="1" applyBorder="1" applyAlignment="1">
      <alignment horizontal="center" vertical="center"/>
    </xf>
    <xf numFmtId="49" fontId="16" fillId="11" borderId="14" xfId="0" applyNumberFormat="1" applyFont="1" applyFill="1" applyBorder="1" applyAlignment="1">
      <alignment horizontal="right" vertical="center"/>
    </xf>
  </cellXfs>
  <cellStyles count="2">
    <cellStyle name="Normal" xfId="0" builtinId="0"/>
    <cellStyle name="Normal 4" xfId="1"/>
  </cellStyles>
  <dxfs count="7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8F2EB"/>
          <bgColor rgb="FFF8F2EB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A677"/>
          <bgColor rgb="FFCCA677"/>
        </patternFill>
      </fill>
    </dxf>
  </dxfs>
  <tableStyles count="3">
    <tableStyle name="PME 2019-style" pivot="0" count="3">
      <tableStyleElement type="headerRow" dxfId="6"/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657225</xdr:colOff>
      <xdr:row>0</xdr:row>
      <xdr:rowOff>171450</xdr:rowOff>
    </xdr:from>
    <xdr:ext cx="2295525" cy="885825"/>
    <xdr:pic>
      <xdr:nvPicPr>
        <xdr:cNvPr id="2" name="image4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181850" y="171450"/>
          <a:ext cx="2295525" cy="885825"/>
        </a:xfrm>
        <a:prstGeom prst="rect">
          <a:avLst/>
        </a:prstGeom>
        <a:noFill/>
      </xdr:spPr>
    </xdr:pic>
    <xdr:clientData fLocksWithSheet="0"/>
  </xdr:oneCellAnchor>
  <xdr:oneCellAnchor>
    <xdr:from>
      <xdr:col>7</xdr:col>
      <xdr:colOff>914400</xdr:colOff>
      <xdr:row>0</xdr:row>
      <xdr:rowOff>123825</xdr:rowOff>
    </xdr:from>
    <xdr:ext cx="3448050" cy="876300"/>
    <xdr:pic>
      <xdr:nvPicPr>
        <xdr:cNvPr id="3" name="image3.jp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896600" y="123825"/>
          <a:ext cx="3448050" cy="8763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28"/>
  <sheetViews>
    <sheetView showGridLines="0" tabSelected="1" workbookViewId="0">
      <pane ySplit="9" topLeftCell="A10" activePane="bottomLeft" state="frozen"/>
      <selection pane="bottomLeft" activeCell="A10" sqref="A10"/>
    </sheetView>
  </sheetViews>
  <sheetFormatPr defaultColWidth="14.42578125" defaultRowHeight="15.75" customHeight="1" x14ac:dyDescent="0.2"/>
  <cols>
    <col min="1" max="1" width="13.28515625" customWidth="1"/>
    <col min="2" max="2" width="20.140625" customWidth="1"/>
    <col min="3" max="3" width="64.42578125" customWidth="1"/>
    <col min="4" max="4" width="16.5703125" customWidth="1"/>
    <col min="5" max="5" width="9.85546875" customWidth="1"/>
    <col min="6" max="6" width="10" customWidth="1"/>
    <col min="7" max="7" width="15.42578125" customWidth="1"/>
    <col min="8" max="8" width="15.140625" customWidth="1"/>
    <col min="9" max="9" width="10.85546875" customWidth="1"/>
    <col min="10" max="10" width="11.7109375" customWidth="1"/>
    <col min="11" max="11" width="12.7109375" customWidth="1"/>
    <col min="12" max="13" width="10.5703125" customWidth="1"/>
    <col min="14" max="14" width="12.140625" customWidth="1"/>
    <col min="15" max="15" width="11.42578125" customWidth="1"/>
    <col min="16" max="16" width="10.5703125" customWidth="1"/>
    <col min="17" max="17" width="15" customWidth="1"/>
    <col min="18" max="18" width="17.85546875" bestFit="1" customWidth="1"/>
  </cols>
  <sheetData>
    <row r="1" spans="1:18" ht="24" customHeight="1" x14ac:dyDescent="0.2">
      <c r="A1" s="6" t="s">
        <v>20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pans="1:18" ht="24" customHeight="1" x14ac:dyDescent="0.25">
      <c r="A2" s="6" t="s">
        <v>21</v>
      </c>
      <c r="B2" s="8"/>
      <c r="C2" s="9"/>
      <c r="D2" s="12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1"/>
      <c r="R2" s="10"/>
    </row>
    <row r="3" spans="1:18" ht="24" customHeight="1" x14ac:dyDescent="0.25">
      <c r="A3" s="6" t="s">
        <v>22</v>
      </c>
      <c r="B3" s="8"/>
      <c r="C3" s="8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1"/>
      <c r="R3" s="10"/>
    </row>
    <row r="4" spans="1:18" ht="35.25" customHeight="1" thickBot="1" x14ac:dyDescent="0.3">
      <c r="A4" s="8"/>
      <c r="B4" s="8"/>
      <c r="C4" s="8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1"/>
      <c r="R4" s="10"/>
    </row>
    <row r="5" spans="1:18" ht="35.25" customHeight="1" thickBot="1" x14ac:dyDescent="0.25">
      <c r="A5" s="49" t="s">
        <v>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1"/>
    </row>
    <row r="6" spans="1:18" ht="35.25" customHeight="1" thickBot="1" x14ac:dyDescent="0.3">
      <c r="A6" s="21"/>
      <c r="B6" s="21"/>
      <c r="C6" s="21"/>
      <c r="D6" s="22" t="s">
        <v>1</v>
      </c>
      <c r="E6" s="23">
        <f>SUM(E10:E29)</f>
        <v>0</v>
      </c>
      <c r="F6" s="23">
        <f>SUBTOTAL(9,F10:F28)</f>
        <v>0</v>
      </c>
      <c r="G6" s="24">
        <f>SUM(G10:G29)</f>
        <v>4964.7999999999893</v>
      </c>
      <c r="H6" s="24">
        <f>SUM(H10:H29)</f>
        <v>19591.2</v>
      </c>
      <c r="I6" s="23">
        <f>SUM(I10:I29)</f>
        <v>1536.999999999998</v>
      </c>
      <c r="J6" s="25">
        <f>SUM(J10:J29)</f>
        <v>2182.7999999999902</v>
      </c>
      <c r="K6" s="25">
        <f>SUM(K10:K29)</f>
        <v>7365.5999999999995</v>
      </c>
      <c r="L6" s="23">
        <f>SUBTOTAL(9,L10:L28)</f>
        <v>0</v>
      </c>
      <c r="M6" s="23">
        <f>SUBTOTAL(9,M10:M28)</f>
        <v>0</v>
      </c>
      <c r="N6" s="23">
        <f>SUM(N10:N29)</f>
        <v>1939.2</v>
      </c>
      <c r="O6" s="52" t="s">
        <v>2</v>
      </c>
      <c r="P6" s="52"/>
      <c r="Q6" s="52"/>
      <c r="R6" s="26">
        <f ca="1">SUM(R10:R28)</f>
        <v>37580.599999999969</v>
      </c>
    </row>
    <row r="7" spans="1:18" s="20" customFormat="1" ht="16.5" customHeight="1" thickBot="1" x14ac:dyDescent="0.3">
      <c r="A7" s="13"/>
      <c r="B7" s="13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6"/>
      <c r="P7" s="17"/>
      <c r="Q7" s="18"/>
      <c r="R7" s="19"/>
    </row>
    <row r="8" spans="1:18" ht="54.75" customHeight="1" thickBot="1" x14ac:dyDescent="0.25">
      <c r="A8" s="27" t="s">
        <v>3</v>
      </c>
      <c r="B8" s="28" t="s">
        <v>4</v>
      </c>
      <c r="C8" s="29" t="str">
        <f ca="1">"UNIDADES EXECUTORAS = " &amp; COUNTA(C10:C28)</f>
        <v>UNIDADES EXECUTORAS = 19</v>
      </c>
      <c r="D8" s="30" t="s">
        <v>5</v>
      </c>
      <c r="E8" s="31" t="s">
        <v>6</v>
      </c>
      <c r="F8" s="31" t="s">
        <v>7</v>
      </c>
      <c r="G8" s="31" t="s">
        <v>8</v>
      </c>
      <c r="H8" s="31" t="s">
        <v>9</v>
      </c>
      <c r="I8" s="31" t="s">
        <v>10</v>
      </c>
      <c r="J8" s="31" t="s">
        <v>11</v>
      </c>
      <c r="K8" s="31" t="s">
        <v>12</v>
      </c>
      <c r="L8" s="31" t="s">
        <v>13</v>
      </c>
      <c r="M8" s="31" t="s">
        <v>14</v>
      </c>
      <c r="N8" s="31" t="s">
        <v>15</v>
      </c>
      <c r="O8" s="32" t="s">
        <v>16</v>
      </c>
      <c r="P8" s="32" t="s">
        <v>17</v>
      </c>
      <c r="Q8" s="33" t="s">
        <v>18</v>
      </c>
      <c r="R8" s="34" t="s">
        <v>19</v>
      </c>
    </row>
    <row r="9" spans="1:18" ht="11.25" customHeight="1" x14ac:dyDescent="0.2">
      <c r="A9" s="1" t="str">
        <f ca="1">IFERROR(__xludf.DUMMYFUNCTION("Query(iRep1,""SELECT A,B,C,D,E,F,G,H,M,N,O,Q,S,T,U,V,W"")"),"")</f>
        <v/>
      </c>
      <c r="B9" s="2" t="str">
        <f ca="1">IFERROR(__xludf.DUMMYFUNCTION("""COMPUTED_VALUE"""),"")</f>
        <v/>
      </c>
      <c r="C9" s="2" t="str">
        <f ca="1">IFERROR(__xludf.DUMMYFUNCTION("""COMPUTED_VALUE"""),"")</f>
        <v/>
      </c>
      <c r="D9" s="2" t="str">
        <f ca="1">IFERROR(__xludf.DUMMYFUNCTION("""COMPUTED_VALUE"""),"")</f>
        <v/>
      </c>
      <c r="E9" s="3" t="str">
        <f ca="1">IFERROR(__xludf.DUMMYFUNCTION("""COMPUTED_VALUE"""),"product(21.4())")</f>
        <v>product(21.4())</v>
      </c>
      <c r="F9" s="4" t="str">
        <f ca="1">IFERROR(__xludf.DUMMYFUNCTION("""COMPUTED_VALUE"""),"product(10.6())")</f>
        <v>product(10.6())</v>
      </c>
      <c r="G9" s="4" t="str">
        <f ca="1">IFERROR(__xludf.DUMMYFUNCTION("""COMPUTED_VALUE"""),"product(21.4())")</f>
        <v>product(21.4())</v>
      </c>
      <c r="H9" s="4" t="str">
        <f ca="1">IFERROR(__xludf.DUMMYFUNCTION("""COMPUTED_VALUE"""),"product(7.2())")</f>
        <v>product(7.2())</v>
      </c>
      <c r="I9" s="4" t="str">
        <f ca="1">IFERROR(__xludf.DUMMYFUNCTION("""COMPUTED_VALUE"""),"product(10.6())")</f>
        <v>product(10.6())</v>
      </c>
      <c r="J9" s="4" t="str">
        <f ca="1">IFERROR(__xludf.DUMMYFUNCTION("""COMPUTED_VALUE"""),"product(21.4())")</f>
        <v>product(21.4())</v>
      </c>
      <c r="K9" s="4" t="str">
        <f ca="1">IFERROR(__xludf.DUMMYFUNCTION("""COMPUTED_VALUE"""),"product(7.2())")</f>
        <v>product(7.2())</v>
      </c>
      <c r="L9" s="4" t="str">
        <f ca="1">IFERROR(__xludf.DUMMYFUNCTION("""COMPUTED_VALUE"""),"product(12.8())")</f>
        <v>product(12.8())</v>
      </c>
      <c r="M9" s="4" t="str">
        <f ca="1">IFERROR(__xludf.DUMMYFUNCTION("""COMPUTED_VALUE"""),"product(12.8())")</f>
        <v>product(12.8())</v>
      </c>
      <c r="N9" s="4" t="str">
        <f ca="1">IFERROR(__xludf.DUMMYFUNCTION("""COMPUTED_VALUE"""),"product(6.4())")</f>
        <v>product(6.4())</v>
      </c>
      <c r="O9" s="4" t="str">
        <f ca="1">IFERROR(__xludf.DUMMYFUNCTION("""COMPUTED_VALUE"""),"")</f>
        <v/>
      </c>
      <c r="P9" s="4" t="str">
        <f ca="1">IFERROR(__xludf.DUMMYFUNCTION("""COMPUTED_VALUE"""),"")</f>
        <v/>
      </c>
      <c r="Q9" s="5" t="str">
        <f ca="1">IFERROR(__xludf.DUMMYFUNCTION("""COMPUTED_VALUE"""),"")</f>
        <v/>
      </c>
      <c r="R9" s="4"/>
    </row>
    <row r="10" spans="1:18" ht="26.1" customHeight="1" x14ac:dyDescent="0.2">
      <c r="A10" s="42" t="str">
        <f ca="1">IFERROR(__xludf.DUMMYFUNCTION("""COMPUTED_VALUE"""),"Arraias")</f>
        <v>Arraias</v>
      </c>
      <c r="B10" s="43" t="str">
        <f ca="1">IFERROR(__xludf.DUMMYFUNCTION("""COMPUTED_VALUE"""),"Arraias")</f>
        <v>Arraias</v>
      </c>
      <c r="C10" s="43" t="str">
        <f ca="1">IFERROR(__xludf.DUMMYFUNCTION("""COMPUTED_VALUE"""),"A. E. COM.COL EST PROFA. JOANA B. CORDEIRO")</f>
        <v>A. E. COM.COL EST PROFA. JOANA B. CORDEIRO</v>
      </c>
      <c r="D10" s="43" t="str">
        <f ca="1">IFERROR(__xludf.DUMMYFUNCTION("""COMPUTED_VALUE"""),"00922190000102")</f>
        <v>00922190000102</v>
      </c>
      <c r="E10" s="44">
        <v>0</v>
      </c>
      <c r="F10" s="45">
        <v>0</v>
      </c>
      <c r="G10" s="45">
        <v>0</v>
      </c>
      <c r="H10" s="45">
        <v>0</v>
      </c>
      <c r="I10" s="45">
        <v>84.8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6" t="str">
        <f ca="1">IFERROR(__xludf.DUMMYFUNCTION("""COMPUTED_VALUE"""),"001")</f>
        <v>001</v>
      </c>
      <c r="P10" s="46" t="str">
        <f ca="1">IFERROR(__xludf.DUMMYFUNCTION("""COMPUTED_VALUE"""),"0541")</f>
        <v>0541</v>
      </c>
      <c r="Q10" s="47" t="str">
        <f ca="1">IFERROR(__xludf.DUMMYFUNCTION("""COMPUTED_VALUE"""),"231770")</f>
        <v>231770</v>
      </c>
      <c r="R10" s="48">
        <f t="shared" ref="R10:R407" ca="1" si="0">SUM(E10:P10)</f>
        <v>84.8</v>
      </c>
    </row>
    <row r="11" spans="1:18" ht="26.1" customHeight="1" x14ac:dyDescent="0.2">
      <c r="A11" s="35" t="str">
        <f ca="1">IFERROR(__xludf.DUMMYFUNCTION("""COMPUTED_VALUE"""),"Arraias")</f>
        <v>Arraias</v>
      </c>
      <c r="B11" s="36" t="str">
        <f ca="1">IFERROR(__xludf.DUMMYFUNCTION("""COMPUTED_VALUE"""),"Arraias")</f>
        <v>Arraias</v>
      </c>
      <c r="C11" s="36" t="str">
        <f ca="1">IFERROR(__xludf.DUMMYFUNCTION("""COMPUTED_VALUE"""),"A.A. ESC. AGRÍCOLA DAVID AIRES FRANÇA")</f>
        <v>A.A. ESC. AGRÍCOLA DAVID AIRES FRANÇA</v>
      </c>
      <c r="D11" s="36" t="str">
        <f ca="1">IFERROR(__xludf.DUMMYFUNCTION("""COMPUTED_VALUE"""),"04302970000100")</f>
        <v>04302970000100</v>
      </c>
      <c r="E11" s="37">
        <v>0</v>
      </c>
      <c r="F11" s="38">
        <v>0</v>
      </c>
      <c r="G11" s="38">
        <v>706.19999999999902</v>
      </c>
      <c r="H11" s="38">
        <v>0</v>
      </c>
      <c r="I11" s="38">
        <v>95.399999999999906</v>
      </c>
      <c r="J11" s="38">
        <v>2182.7999999999902</v>
      </c>
      <c r="K11" s="38">
        <v>0</v>
      </c>
      <c r="L11" s="38">
        <v>0</v>
      </c>
      <c r="M11" s="38">
        <v>0</v>
      </c>
      <c r="N11" s="38">
        <v>0</v>
      </c>
      <c r="O11" s="39" t="str">
        <f ca="1">IFERROR(__xludf.DUMMYFUNCTION("""COMPUTED_VALUE"""),"001")</f>
        <v>001</v>
      </c>
      <c r="P11" s="39" t="str">
        <f ca="1">IFERROR(__xludf.DUMMYFUNCTION("""COMPUTED_VALUE"""),"0541")</f>
        <v>0541</v>
      </c>
      <c r="Q11" s="40" t="str">
        <f ca="1">IFERROR(__xludf.DUMMYFUNCTION("""COMPUTED_VALUE"""),"94811")</f>
        <v>94811</v>
      </c>
      <c r="R11" s="41">
        <f t="shared" ca="1" si="0"/>
        <v>2984.3999999999892</v>
      </c>
    </row>
    <row r="12" spans="1:18" ht="26.1" customHeight="1" x14ac:dyDescent="0.2">
      <c r="A12" s="42" t="str">
        <f ca="1">IFERROR(__xludf.DUMMYFUNCTION("""COMPUTED_VALUE"""),"Arraias")</f>
        <v>Arraias</v>
      </c>
      <c r="B12" s="43" t="str">
        <f ca="1">IFERROR(__xludf.DUMMYFUNCTION("""COMPUTED_VALUE"""),"Arraias")</f>
        <v>Arraias</v>
      </c>
      <c r="C12" s="43" t="str">
        <f ca="1">IFERROR(__xludf.DUMMYFUNCTION("""COMPUTED_VALUE"""),"A.A. ESCOL. DA ESC. EST. BRIGADEIRO FELIPE")</f>
        <v>A.A. ESCOL. DA ESC. EST. BRIGADEIRO FELIPE</v>
      </c>
      <c r="D12" s="43" t="str">
        <f ca="1">IFERROR(__xludf.DUMMYFUNCTION("""COMPUTED_VALUE"""),"01221149000163")</f>
        <v>01221149000163</v>
      </c>
      <c r="E12" s="44">
        <v>0</v>
      </c>
      <c r="F12" s="45">
        <v>0</v>
      </c>
      <c r="G12" s="45">
        <v>0</v>
      </c>
      <c r="H12" s="45">
        <v>849.6</v>
      </c>
      <c r="I12" s="45">
        <v>137.79999999999899</v>
      </c>
      <c r="J12" s="45">
        <v>0</v>
      </c>
      <c r="K12" s="45">
        <v>619.20000000000005</v>
      </c>
      <c r="L12" s="45">
        <v>0</v>
      </c>
      <c r="M12" s="45">
        <v>0</v>
      </c>
      <c r="N12" s="45">
        <v>0</v>
      </c>
      <c r="O12" s="46" t="str">
        <f ca="1">IFERROR(__xludf.DUMMYFUNCTION("""COMPUTED_VALUE"""),"001")</f>
        <v>001</v>
      </c>
      <c r="P12" s="46" t="str">
        <f ca="1">IFERROR(__xludf.DUMMYFUNCTION("""COMPUTED_VALUE"""),"0541")</f>
        <v>0541</v>
      </c>
      <c r="Q12" s="47" t="str">
        <f ca="1">IFERROR(__xludf.DUMMYFUNCTION("""COMPUTED_VALUE"""),"232165")</f>
        <v>232165</v>
      </c>
      <c r="R12" s="48">
        <f t="shared" ca="1" si="0"/>
        <v>1606.599999999999</v>
      </c>
    </row>
    <row r="13" spans="1:18" ht="26.1" customHeight="1" x14ac:dyDescent="0.2">
      <c r="A13" s="35" t="str">
        <f ca="1">IFERROR(__xludf.DUMMYFUNCTION("""COMPUTED_VALUE"""),"Arraias")</f>
        <v>Arraias</v>
      </c>
      <c r="B13" s="36" t="str">
        <f ca="1">IFERROR(__xludf.DUMMYFUNCTION("""COMPUTED_VALUE"""),"Arraias")</f>
        <v>Arraias</v>
      </c>
      <c r="C13" s="36" t="str">
        <f ca="1">IFERROR(__xludf.DUMMYFUNCTION("""COMPUTED_VALUE"""),"ASS. APOIO ESC. EST. JACY ALVES DE BARROS")</f>
        <v>ASS. APOIO ESC. EST. JACY ALVES DE BARROS</v>
      </c>
      <c r="D13" s="36" t="str">
        <f ca="1">IFERROR(__xludf.DUMMYFUNCTION("""COMPUTED_VALUE"""),"01284634000186")</f>
        <v>01284634000186</v>
      </c>
      <c r="E13" s="37">
        <v>0</v>
      </c>
      <c r="F13" s="38">
        <v>0</v>
      </c>
      <c r="G13" s="38">
        <v>0</v>
      </c>
      <c r="H13" s="38">
        <v>2160</v>
      </c>
      <c r="I13" s="38">
        <v>53</v>
      </c>
      <c r="J13" s="38">
        <v>0</v>
      </c>
      <c r="K13" s="38">
        <v>0</v>
      </c>
      <c r="L13" s="38">
        <v>0</v>
      </c>
      <c r="M13" s="38">
        <v>0</v>
      </c>
      <c r="N13" s="38">
        <v>0</v>
      </c>
      <c r="O13" s="39" t="str">
        <f ca="1">IFERROR(__xludf.DUMMYFUNCTION("""COMPUTED_VALUE"""),"001")</f>
        <v>001</v>
      </c>
      <c r="P13" s="39" t="str">
        <f ca="1">IFERROR(__xludf.DUMMYFUNCTION("""COMPUTED_VALUE"""),"0541")</f>
        <v>0541</v>
      </c>
      <c r="Q13" s="40" t="str">
        <f ca="1">IFERROR(__xludf.DUMMYFUNCTION("""COMPUTED_VALUE"""),"232246")</f>
        <v>232246</v>
      </c>
      <c r="R13" s="41">
        <f t="shared" ca="1" si="0"/>
        <v>2213</v>
      </c>
    </row>
    <row r="14" spans="1:18" ht="26.1" customHeight="1" x14ac:dyDescent="0.2">
      <c r="A14" s="42" t="str">
        <f ca="1">IFERROR(__xludf.DUMMYFUNCTION("""COMPUTED_VALUE"""),"Arraias")</f>
        <v>Arraias</v>
      </c>
      <c r="B14" s="43" t="str">
        <f ca="1">IFERROR(__xludf.DUMMYFUNCTION("""COMPUTED_VALUE"""),"Arraias")</f>
        <v>Arraias</v>
      </c>
      <c r="C14" s="43" t="str">
        <f ca="1">IFERROR(__xludf.DUMMYFUNCTION("""COMPUTED_VALUE"""),"A.A. ESC. EST.PROF.APOENAN DE A.TEIXEIRA")</f>
        <v>A.A. ESC. EST.PROF.APOENAN DE A.TEIXEIRA</v>
      </c>
      <c r="D14" s="43" t="str">
        <f ca="1">IFERROR(__xludf.DUMMYFUNCTION("""COMPUTED_VALUE"""),"01238730000198")</f>
        <v>01238730000198</v>
      </c>
      <c r="E14" s="44">
        <v>0</v>
      </c>
      <c r="F14" s="45">
        <v>0</v>
      </c>
      <c r="G14" s="45">
        <v>0</v>
      </c>
      <c r="H14" s="45">
        <v>0</v>
      </c>
      <c r="I14" s="45" t="s">
        <v>23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6" t="str">
        <f ca="1">IFERROR(__xludf.DUMMYFUNCTION("""COMPUTED_VALUE"""),"001")</f>
        <v>001</v>
      </c>
      <c r="P14" s="46" t="str">
        <f ca="1">IFERROR(__xludf.DUMMYFUNCTION("""COMPUTED_VALUE"""),"0541")</f>
        <v>0541</v>
      </c>
      <c r="Q14" s="47" t="str">
        <f ca="1">IFERROR(__xludf.DUMMYFUNCTION("""COMPUTED_VALUE"""),"232149")</f>
        <v>232149</v>
      </c>
      <c r="R14" s="48">
        <f t="shared" ca="1" si="0"/>
        <v>0</v>
      </c>
    </row>
    <row r="15" spans="1:18" ht="26.1" customHeight="1" x14ac:dyDescent="0.2">
      <c r="A15" s="35" t="str">
        <f ca="1">IFERROR(__xludf.DUMMYFUNCTION("""COMPUTED_VALUE"""),"Arraias")</f>
        <v>Arraias</v>
      </c>
      <c r="B15" s="36" t="str">
        <f ca="1">IFERROR(__xludf.DUMMYFUNCTION("""COMPUTED_VALUE"""),"Arraias")</f>
        <v>Arraias</v>
      </c>
      <c r="C15" s="36" t="str">
        <f ca="1">IFERROR(__xludf.DUMMYFUNCTION("""COMPUTED_VALUE"""),"A.A. ESCOLA ESTADUAL CANABRAVA/ZULMIRA MAGALHÃES")</f>
        <v>A.A. ESCOLA ESTADUAL CANABRAVA/ZULMIRA MAGALHÃES</v>
      </c>
      <c r="D15" s="36" t="str">
        <f ca="1">IFERROR(__xludf.DUMMYFUNCTION("""COMPUTED_VALUE"""),"01284633000131")</f>
        <v>01284633000131</v>
      </c>
      <c r="E15" s="37">
        <v>0</v>
      </c>
      <c r="F15" s="38">
        <v>0</v>
      </c>
      <c r="G15" s="38">
        <v>0</v>
      </c>
      <c r="H15" s="38">
        <v>691.2</v>
      </c>
      <c r="I15" s="38">
        <v>148.4</v>
      </c>
      <c r="J15" s="38">
        <v>0</v>
      </c>
      <c r="K15" s="38">
        <v>468</v>
      </c>
      <c r="L15" s="38">
        <v>0</v>
      </c>
      <c r="M15" s="38">
        <v>0</v>
      </c>
      <c r="N15" s="38">
        <v>0</v>
      </c>
      <c r="O15" s="39" t="str">
        <f ca="1">IFERROR(__xludf.DUMMYFUNCTION("""COMPUTED_VALUE"""),"001")</f>
        <v>001</v>
      </c>
      <c r="P15" s="39" t="str">
        <f ca="1">IFERROR(__xludf.DUMMYFUNCTION("""COMPUTED_VALUE"""),"0541")</f>
        <v>0541</v>
      </c>
      <c r="Q15" s="40" t="str">
        <f ca="1">IFERROR(__xludf.DUMMYFUNCTION("""COMPUTED_VALUE"""),"23219X")</f>
        <v>23219X</v>
      </c>
      <c r="R15" s="41">
        <f t="shared" ca="1" si="0"/>
        <v>1307.5999999999999</v>
      </c>
    </row>
    <row r="16" spans="1:18" ht="26.1" customHeight="1" x14ac:dyDescent="0.2">
      <c r="A16" s="42" t="str">
        <f ca="1">IFERROR(__xludf.DUMMYFUNCTION("""COMPUTED_VALUE"""),"Arraias")</f>
        <v>Arraias</v>
      </c>
      <c r="B16" s="43" t="str">
        <f ca="1">IFERROR(__xludf.DUMMYFUNCTION("""COMPUTED_VALUE"""),"Arraias")</f>
        <v>Arraias</v>
      </c>
      <c r="C16" s="43" t="str">
        <f ca="1">IFERROR(__xludf.DUMMYFUNCTION("""COMPUTED_VALUE"""),"A.A. ESCOLAR DA ESC. EST. SILVA DOURADO")</f>
        <v>A.A. ESCOLAR DA ESC. EST. SILVA DOURADO</v>
      </c>
      <c r="D16" s="43" t="str">
        <f ca="1">IFERROR(__xludf.DUMMYFUNCTION("""COMPUTED_VALUE"""),"01301519000172")</f>
        <v>01301519000172</v>
      </c>
      <c r="E16" s="44">
        <v>0</v>
      </c>
      <c r="F16" s="45">
        <v>0</v>
      </c>
      <c r="G16" s="45">
        <v>0</v>
      </c>
      <c r="H16" s="45">
        <v>1648.8</v>
      </c>
      <c r="I16" s="45">
        <v>148.4</v>
      </c>
      <c r="J16" s="45">
        <v>0</v>
      </c>
      <c r="K16" s="45" t="s">
        <v>23</v>
      </c>
      <c r="L16" s="45">
        <v>0</v>
      </c>
      <c r="M16" s="45">
        <v>0</v>
      </c>
      <c r="N16" s="45">
        <v>793.6</v>
      </c>
      <c r="O16" s="46" t="str">
        <f ca="1">IFERROR(__xludf.DUMMYFUNCTION("""COMPUTED_VALUE"""),"001")</f>
        <v>001</v>
      </c>
      <c r="P16" s="46" t="str">
        <f ca="1">IFERROR(__xludf.DUMMYFUNCTION("""COMPUTED_VALUE"""),"0541")</f>
        <v>0541</v>
      </c>
      <c r="Q16" s="47" t="str">
        <f ca="1">IFERROR(__xludf.DUMMYFUNCTION("""COMPUTED_VALUE"""),"232297")</f>
        <v>232297</v>
      </c>
      <c r="R16" s="48">
        <f t="shared" ca="1" si="0"/>
        <v>2590.8000000000002</v>
      </c>
    </row>
    <row r="17" spans="1:18" ht="26.1" customHeight="1" x14ac:dyDescent="0.2">
      <c r="A17" s="35" t="str">
        <f ca="1">IFERROR(__xludf.DUMMYFUNCTION("""COMPUTED_VALUE"""),"Arraias")</f>
        <v>Arraias</v>
      </c>
      <c r="B17" s="36" t="str">
        <f ca="1">IFERROR(__xludf.DUMMYFUNCTION("""COMPUTED_VALUE"""),"Aurora do Tocantins")</f>
        <v>Aurora do Tocantins</v>
      </c>
      <c r="C17" s="36" t="str">
        <f ca="1">IFERROR(__xludf.DUMMYFUNCTION("""COMPUTED_VALUE"""),"A.A. A ESCOLA/COL. EST.PROF. RANULFA")</f>
        <v>A.A. A ESCOLA/COL. EST.PROF. RANULFA</v>
      </c>
      <c r="D17" s="36" t="str">
        <f ca="1">IFERROR(__xludf.DUMMYFUNCTION("""COMPUTED_VALUE"""),"01133691000164")</f>
        <v>01133691000164</v>
      </c>
      <c r="E17" s="37">
        <v>0</v>
      </c>
      <c r="F17" s="38">
        <v>0</v>
      </c>
      <c r="G17" s="38">
        <v>0</v>
      </c>
      <c r="H17" s="38">
        <v>1677.6</v>
      </c>
      <c r="I17" s="38">
        <v>137.79999999999899</v>
      </c>
      <c r="J17" s="38">
        <v>0</v>
      </c>
      <c r="K17" s="38">
        <v>1072.8</v>
      </c>
      <c r="L17" s="38">
        <v>0</v>
      </c>
      <c r="M17" s="38">
        <v>0</v>
      </c>
      <c r="N17" s="38">
        <v>0</v>
      </c>
      <c r="O17" s="39" t="str">
        <f ca="1">IFERROR(__xludf.DUMMYFUNCTION("""COMPUTED_VALUE"""),"001")</f>
        <v>001</v>
      </c>
      <c r="P17" s="39" t="str">
        <f ca="1">IFERROR(__xludf.DUMMYFUNCTION("""COMPUTED_VALUE"""),"3977")</f>
        <v>3977</v>
      </c>
      <c r="Q17" s="40" t="str">
        <f ca="1">IFERROR(__xludf.DUMMYFUNCTION("""COMPUTED_VALUE"""),"102725")</f>
        <v>102725</v>
      </c>
      <c r="R17" s="41">
        <f t="shared" ca="1" si="0"/>
        <v>2888.1999999999989</v>
      </c>
    </row>
    <row r="18" spans="1:18" ht="26.1" customHeight="1" x14ac:dyDescent="0.2">
      <c r="A18" s="42" t="str">
        <f ca="1">IFERROR(__xludf.DUMMYFUNCTION("""COMPUTED_VALUE"""),"Arraias")</f>
        <v>Arraias</v>
      </c>
      <c r="B18" s="43" t="str">
        <f ca="1">IFERROR(__xludf.DUMMYFUNCTION("""COMPUTED_VALUE"""),"Aurora do Tocantins")</f>
        <v>Aurora do Tocantins</v>
      </c>
      <c r="C18" s="43" t="str">
        <f ca="1">IFERROR(__xludf.DUMMYFUNCTION("""COMPUTED_VALUE"""),"ASS. APOIO ESCOLA ESTADUAL DONA INES")</f>
        <v>ASS. APOIO ESCOLA ESTADUAL DONA INES</v>
      </c>
      <c r="D18" s="43" t="str">
        <f ca="1">IFERROR(__xludf.DUMMYFUNCTION("""COMPUTED_VALUE"""),"01190419000116")</f>
        <v>01190419000116</v>
      </c>
      <c r="E18" s="44">
        <v>0</v>
      </c>
      <c r="F18" s="45">
        <v>0</v>
      </c>
      <c r="G18" s="45">
        <v>0</v>
      </c>
      <c r="H18" s="45">
        <v>885.6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6" t="str">
        <f ca="1">IFERROR(__xludf.DUMMYFUNCTION("""COMPUTED_VALUE"""),"001")</f>
        <v>001</v>
      </c>
      <c r="P18" s="46" t="str">
        <f ca="1">IFERROR(__xludf.DUMMYFUNCTION("""COMPUTED_VALUE"""),"3977")</f>
        <v>3977</v>
      </c>
      <c r="Q18" s="47" t="str">
        <f ca="1">IFERROR(__xludf.DUMMYFUNCTION("""COMPUTED_VALUE"""),"109703")</f>
        <v>109703</v>
      </c>
      <c r="R18" s="48">
        <f t="shared" ca="1" si="0"/>
        <v>885.6</v>
      </c>
    </row>
    <row r="19" spans="1:18" ht="26.1" customHeight="1" x14ac:dyDescent="0.2">
      <c r="A19" s="35" t="str">
        <f ca="1">IFERROR(__xludf.DUMMYFUNCTION("""COMPUTED_VALUE"""),"Arraias")</f>
        <v>Arraias</v>
      </c>
      <c r="B19" s="36" t="str">
        <f ca="1">IFERROR(__xludf.DUMMYFUNCTION("""COMPUTED_VALUE"""),"Combinado")</f>
        <v>Combinado</v>
      </c>
      <c r="C19" s="36" t="str">
        <f ca="1">IFERROR(__xludf.DUMMYFUNCTION("""COMPUTED_VALUE"""),"A.A. DO COL. E.JOAQUIM DE SENA E SILVA")</f>
        <v>A.A. DO COL. E.JOAQUIM DE SENA E SILVA</v>
      </c>
      <c r="D19" s="36" t="str">
        <f ca="1">IFERROR(__xludf.DUMMYFUNCTION("""COMPUTED_VALUE"""),"01230223000108")</f>
        <v>01230223000108</v>
      </c>
      <c r="E19" s="37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1576.8</v>
      </c>
      <c r="L19" s="38">
        <v>0</v>
      </c>
      <c r="M19" s="38">
        <v>0</v>
      </c>
      <c r="N19" s="38">
        <v>0</v>
      </c>
      <c r="O19" s="39" t="str">
        <f ca="1">IFERROR(__xludf.DUMMYFUNCTION("""COMPUTED_VALUE"""),"001")</f>
        <v>001</v>
      </c>
      <c r="P19" s="39" t="str">
        <f ca="1">IFERROR(__xludf.DUMMYFUNCTION("""COMPUTED_VALUE"""),"3977")</f>
        <v>3977</v>
      </c>
      <c r="Q19" s="40" t="str">
        <f ca="1">IFERROR(__xludf.DUMMYFUNCTION("""COMPUTED_VALUE"""),"232106")</f>
        <v>232106</v>
      </c>
      <c r="R19" s="41">
        <f t="shared" ca="1" si="0"/>
        <v>1576.8</v>
      </c>
    </row>
    <row r="20" spans="1:18" ht="26.1" customHeight="1" x14ac:dyDescent="0.2">
      <c r="A20" s="42" t="str">
        <f ca="1">IFERROR(__xludf.DUMMYFUNCTION("""COMPUTED_VALUE"""),"Arraias")</f>
        <v>Arraias</v>
      </c>
      <c r="B20" s="43" t="str">
        <f ca="1">IFERROR(__xludf.DUMMYFUNCTION("""COMPUTED_VALUE"""),"Combinado")</f>
        <v>Combinado</v>
      </c>
      <c r="C20" s="43" t="str">
        <f ca="1">IFERROR(__xludf.DUMMYFUNCTION("""COMPUTED_VALUE"""),"A.A. DA ESCOLA ESTADUAL COMBINADO")</f>
        <v>A.A. DA ESCOLA ESTADUAL COMBINADO</v>
      </c>
      <c r="D20" s="43" t="str">
        <f ca="1">IFERROR(__xludf.DUMMYFUNCTION("""COMPUTED_VALUE"""),"01136003000110")</f>
        <v>01136003000110</v>
      </c>
      <c r="E20" s="44">
        <v>0</v>
      </c>
      <c r="F20" s="45">
        <v>0</v>
      </c>
      <c r="G20" s="45">
        <v>4258.5999999999904</v>
      </c>
      <c r="H20" s="45">
        <v>0</v>
      </c>
      <c r="I20" s="45">
        <v>74.2</v>
      </c>
      <c r="J20" s="45">
        <v>0</v>
      </c>
      <c r="K20" s="45">
        <v>0</v>
      </c>
      <c r="L20" s="45">
        <v>0</v>
      </c>
      <c r="M20" s="45">
        <v>0</v>
      </c>
      <c r="N20" s="45">
        <v>0</v>
      </c>
      <c r="O20" s="46" t="str">
        <f ca="1">IFERROR(__xludf.DUMMYFUNCTION("""COMPUTED_VALUE"""),"001")</f>
        <v>001</v>
      </c>
      <c r="P20" s="46" t="str">
        <f ca="1">IFERROR(__xludf.DUMMYFUNCTION("""COMPUTED_VALUE"""),"3977")</f>
        <v>3977</v>
      </c>
      <c r="Q20" s="47" t="str">
        <f ca="1">IFERROR(__xludf.DUMMYFUNCTION("""COMPUTED_VALUE"""),"231940")</f>
        <v>231940</v>
      </c>
      <c r="R20" s="48">
        <f t="shared" ca="1" si="0"/>
        <v>4332.7999999999902</v>
      </c>
    </row>
    <row r="21" spans="1:18" ht="26.1" customHeight="1" x14ac:dyDescent="0.2">
      <c r="A21" s="35" t="str">
        <f ca="1">IFERROR(__xludf.DUMMYFUNCTION("""COMPUTED_VALUE"""),"Arraias")</f>
        <v>Arraias</v>
      </c>
      <c r="B21" s="36" t="str">
        <f ca="1">IFERROR(__xludf.DUMMYFUNCTION("""COMPUTED_VALUE"""),"Combinado")</f>
        <v>Combinado</v>
      </c>
      <c r="C21" s="36" t="str">
        <f ca="1">IFERROR(__xludf.DUMMYFUNCTION("""COMPUTED_VALUE"""),"A.A. ESC. EST. AUGUSTA VAZ DOS S.TEIXEIRA")</f>
        <v>A.A. ESC. EST. AUGUSTA VAZ DOS S.TEIXEIRA</v>
      </c>
      <c r="D21" s="36" t="str">
        <f ca="1">IFERROR(__xludf.DUMMYFUNCTION("""COMPUTED_VALUE"""),"01186458000140")</f>
        <v>01186458000140</v>
      </c>
      <c r="E21" s="37">
        <v>0</v>
      </c>
      <c r="F21" s="38">
        <v>0</v>
      </c>
      <c r="G21" s="38">
        <v>0</v>
      </c>
      <c r="H21" s="38">
        <v>2152.8000000000002</v>
      </c>
      <c r="I21" s="38">
        <v>201.4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9" t="str">
        <f ca="1">IFERROR(__xludf.DUMMYFUNCTION("""COMPUTED_VALUE"""),"001")</f>
        <v>001</v>
      </c>
      <c r="P21" s="39" t="str">
        <f ca="1">IFERROR(__xludf.DUMMYFUNCTION("""COMPUTED_VALUE"""),"3977")</f>
        <v>3977</v>
      </c>
      <c r="Q21" s="40" t="str">
        <f ca="1">IFERROR(__xludf.DUMMYFUNCTION("""COMPUTED_VALUE"""),"56855")</f>
        <v>56855</v>
      </c>
      <c r="R21" s="41">
        <f t="shared" ca="1" si="0"/>
        <v>2354.2000000000003</v>
      </c>
    </row>
    <row r="22" spans="1:18" ht="26.1" customHeight="1" x14ac:dyDescent="0.2">
      <c r="A22" s="42" t="str">
        <f ca="1">IFERROR(__xludf.DUMMYFUNCTION("""COMPUTED_VALUE"""),"Arraias")</f>
        <v>Arraias</v>
      </c>
      <c r="B22" s="43" t="str">
        <f ca="1">IFERROR(__xludf.DUMMYFUNCTION("""COMPUTED_VALUE"""),"Lavandeira")</f>
        <v>Lavandeira</v>
      </c>
      <c r="C22" s="43" t="str">
        <f ca="1">IFERROR(__xludf.DUMMYFUNCTION("""COMPUTED_VALUE"""),"ASSOC. DE APOIO ESC. EST. LAVANDEIRA")</f>
        <v>ASSOC. DE APOIO ESC. EST. LAVANDEIRA</v>
      </c>
      <c r="D22" s="43" t="str">
        <f ca="1">IFERROR(__xludf.DUMMYFUNCTION("""COMPUTED_VALUE"""),"01136024000135")</f>
        <v>01136024000135</v>
      </c>
      <c r="E22" s="44">
        <v>0</v>
      </c>
      <c r="F22" s="45">
        <v>0</v>
      </c>
      <c r="G22" s="45">
        <v>0</v>
      </c>
      <c r="H22" s="45">
        <v>972</v>
      </c>
      <c r="I22" s="45">
        <v>159</v>
      </c>
      <c r="J22" s="45">
        <v>0</v>
      </c>
      <c r="K22" s="45">
        <v>547.20000000000005</v>
      </c>
      <c r="L22" s="45">
        <v>0</v>
      </c>
      <c r="M22" s="45">
        <v>0</v>
      </c>
      <c r="N22" s="45">
        <v>0</v>
      </c>
      <c r="O22" s="46" t="str">
        <f ca="1">IFERROR(__xludf.DUMMYFUNCTION("""COMPUTED_VALUE"""),"001")</f>
        <v>001</v>
      </c>
      <c r="P22" s="46" t="str">
        <f ca="1">IFERROR(__xludf.DUMMYFUNCTION("""COMPUTED_VALUE"""),"3977")</f>
        <v>3977</v>
      </c>
      <c r="Q22" s="47" t="str">
        <f ca="1">IFERROR(__xludf.DUMMYFUNCTION("""COMPUTED_VALUE"""),"231916")</f>
        <v>231916</v>
      </c>
      <c r="R22" s="48">
        <f t="shared" ca="1" si="0"/>
        <v>1678.2</v>
      </c>
    </row>
    <row r="23" spans="1:18" ht="26.1" customHeight="1" x14ac:dyDescent="0.2">
      <c r="A23" s="35" t="str">
        <f ca="1">IFERROR(__xludf.DUMMYFUNCTION("""COMPUTED_VALUE"""),"Arraias")</f>
        <v>Arraias</v>
      </c>
      <c r="B23" s="36" t="str">
        <f ca="1">IFERROR(__xludf.DUMMYFUNCTION("""COMPUTED_VALUE"""),"Novo Alegre")</f>
        <v>Novo Alegre</v>
      </c>
      <c r="C23" s="36" t="str">
        <f ca="1">IFERROR(__xludf.DUMMYFUNCTION("""COMPUTED_VALUE"""),"ASSOC. DE APOIO COL. EST. DR.JOAO D`ABREU")</f>
        <v>ASSOC. DE APOIO COL. EST. DR.JOAO D`ABREU</v>
      </c>
      <c r="D23" s="36" t="str">
        <f ca="1">IFERROR(__xludf.DUMMYFUNCTION("""COMPUTED_VALUE"""),"01146115000151")</f>
        <v>01146115000151</v>
      </c>
      <c r="E23" s="37">
        <v>0</v>
      </c>
      <c r="F23" s="38">
        <v>0</v>
      </c>
      <c r="G23" s="38">
        <v>0</v>
      </c>
      <c r="H23" s="38">
        <v>1980</v>
      </c>
      <c r="I23" s="38">
        <v>0</v>
      </c>
      <c r="J23" s="38">
        <v>0</v>
      </c>
      <c r="K23" s="38">
        <v>619.20000000000005</v>
      </c>
      <c r="L23" s="38">
        <v>0</v>
      </c>
      <c r="M23" s="38">
        <v>0</v>
      </c>
      <c r="N23" s="38">
        <v>0</v>
      </c>
      <c r="O23" s="39" t="str">
        <f ca="1">IFERROR(__xludf.DUMMYFUNCTION("""COMPUTED_VALUE"""),"001")</f>
        <v>001</v>
      </c>
      <c r="P23" s="39" t="str">
        <f ca="1">IFERROR(__xludf.DUMMYFUNCTION("""COMPUTED_VALUE"""),"3977")</f>
        <v>3977</v>
      </c>
      <c r="Q23" s="40" t="str">
        <f ca="1">IFERROR(__xludf.DUMMYFUNCTION("""COMPUTED_VALUE"""),"178845")</f>
        <v>178845</v>
      </c>
      <c r="R23" s="41">
        <f t="shared" ca="1" si="0"/>
        <v>2599.1999999999998</v>
      </c>
    </row>
    <row r="24" spans="1:18" ht="26.1" customHeight="1" x14ac:dyDescent="0.2">
      <c r="A24" s="42" t="str">
        <f ca="1">IFERROR(__xludf.DUMMYFUNCTION("""COMPUTED_VALUE"""),"Arraias")</f>
        <v>Arraias</v>
      </c>
      <c r="B24" s="43" t="str">
        <f ca="1">IFERROR(__xludf.DUMMYFUNCTION("""COMPUTED_VALUE"""),"Novo Alegre")</f>
        <v>Novo Alegre</v>
      </c>
      <c r="C24" s="43" t="str">
        <f ca="1">IFERROR(__xludf.DUMMYFUNCTION("""COMPUTED_VALUE"""),"A.A.  ESC. EST. DIOLINDO DOS SANTOS FREIRE")</f>
        <v>A.A.  ESC. EST. DIOLINDO DOS SANTOS FREIRE</v>
      </c>
      <c r="D24" s="43" t="str">
        <f ca="1">IFERROR(__xludf.DUMMYFUNCTION("""COMPUTED_VALUE"""),"01146121000109")</f>
        <v>01146121000109</v>
      </c>
      <c r="E24" s="44">
        <v>0</v>
      </c>
      <c r="F24" s="45">
        <v>0</v>
      </c>
      <c r="G24" s="45">
        <v>0</v>
      </c>
      <c r="H24" s="45">
        <v>0</v>
      </c>
      <c r="I24" s="45" t="s">
        <v>23</v>
      </c>
      <c r="J24" s="45">
        <v>0</v>
      </c>
      <c r="K24" s="45">
        <v>0</v>
      </c>
      <c r="L24" s="45">
        <v>0</v>
      </c>
      <c r="M24" s="45">
        <v>0</v>
      </c>
      <c r="N24" s="45">
        <v>0</v>
      </c>
      <c r="O24" s="46" t="str">
        <f ca="1">IFERROR(__xludf.DUMMYFUNCTION("""COMPUTED_VALUE"""),"001")</f>
        <v>001</v>
      </c>
      <c r="P24" s="46" t="str">
        <f ca="1">IFERROR(__xludf.DUMMYFUNCTION("""COMPUTED_VALUE"""),"3977")</f>
        <v>3977</v>
      </c>
      <c r="Q24" s="47" t="str">
        <f ca="1">IFERROR(__xludf.DUMMYFUNCTION("""COMPUTED_VALUE"""),"178896")</f>
        <v>178896</v>
      </c>
      <c r="R24" s="48">
        <f t="shared" ca="1" si="0"/>
        <v>0</v>
      </c>
    </row>
    <row r="25" spans="1:18" ht="26.1" customHeight="1" x14ac:dyDescent="0.2">
      <c r="A25" s="35" t="str">
        <f ca="1">IFERROR(__xludf.DUMMYFUNCTION("""COMPUTED_VALUE"""),"Arraias")</f>
        <v>Arraias</v>
      </c>
      <c r="B25" s="36" t="str">
        <f ca="1">IFERROR(__xludf.DUMMYFUNCTION("""COMPUTED_VALUE"""),"Parana")</f>
        <v>Parana</v>
      </c>
      <c r="C25" s="36" t="str">
        <f ca="1">IFERROR(__xludf.DUMMYFUNCTION("""COMPUTED_VALUE"""),"A.A. DO COL. EST. DES.VIRGILIO DE M.FRANCO")</f>
        <v>A.A. DO COL. EST. DES.VIRGILIO DE M.FRANCO</v>
      </c>
      <c r="D25" s="36" t="str">
        <f ca="1">IFERROR(__xludf.DUMMYFUNCTION("""COMPUTED_VALUE"""),"01284635000120")</f>
        <v>01284635000120</v>
      </c>
      <c r="E25" s="37">
        <v>0</v>
      </c>
      <c r="F25" s="38">
        <v>0</v>
      </c>
      <c r="G25" s="38">
        <v>0</v>
      </c>
      <c r="H25" s="38">
        <v>1778.4</v>
      </c>
      <c r="I25" s="38">
        <v>0</v>
      </c>
      <c r="J25" s="38">
        <v>0</v>
      </c>
      <c r="K25" s="38">
        <v>1713.6</v>
      </c>
      <c r="L25" s="38">
        <v>0</v>
      </c>
      <c r="M25" s="38">
        <v>0</v>
      </c>
      <c r="N25" s="38">
        <v>678.4</v>
      </c>
      <c r="O25" s="39" t="str">
        <f ca="1">IFERROR(__xludf.DUMMYFUNCTION("""COMPUTED_VALUE"""),"001")</f>
        <v>001</v>
      </c>
      <c r="P25" s="39" t="str">
        <f ca="1">IFERROR(__xludf.DUMMYFUNCTION("""COMPUTED_VALUE"""),"4790")</f>
        <v>4790</v>
      </c>
      <c r="Q25" s="40" t="str">
        <f ca="1">IFERROR(__xludf.DUMMYFUNCTION("""COMPUTED_VALUE"""),"232327")</f>
        <v>232327</v>
      </c>
      <c r="R25" s="41">
        <f t="shared" ca="1" si="0"/>
        <v>4170.3999999999996</v>
      </c>
    </row>
    <row r="26" spans="1:18" ht="26.1" customHeight="1" x14ac:dyDescent="0.2">
      <c r="A26" s="42" t="str">
        <f ca="1">IFERROR(__xludf.DUMMYFUNCTION("""COMPUTED_VALUE"""),"Arraias")</f>
        <v>Arraias</v>
      </c>
      <c r="B26" s="43" t="str">
        <f ca="1">IFERROR(__xludf.DUMMYFUNCTION("""COMPUTED_VALUE"""),"Parana")</f>
        <v>Parana</v>
      </c>
      <c r="C26" s="43" t="str">
        <f ca="1">IFERROR(__xludf.DUMMYFUNCTION("""COMPUTED_VALUE"""),"A.A. DA ESC. EST.EUCLIDES BEZERRA GERAIS")</f>
        <v>A.A. DA ESC. EST.EUCLIDES BEZERRA GERAIS</v>
      </c>
      <c r="D26" s="43" t="str">
        <f ca="1">IFERROR(__xludf.DUMMYFUNCTION("""COMPUTED_VALUE"""),"01401950000190")</f>
        <v>01401950000190</v>
      </c>
      <c r="E26" s="44">
        <v>0</v>
      </c>
      <c r="F26" s="45">
        <v>0</v>
      </c>
      <c r="G26" s="45">
        <v>0</v>
      </c>
      <c r="H26" s="45">
        <v>3276</v>
      </c>
      <c r="I26" s="45">
        <v>233.2</v>
      </c>
      <c r="J26" s="45">
        <v>0</v>
      </c>
      <c r="K26" s="45">
        <v>0</v>
      </c>
      <c r="L26" s="45">
        <v>0</v>
      </c>
      <c r="M26" s="45">
        <v>0</v>
      </c>
      <c r="N26" s="45">
        <v>0</v>
      </c>
      <c r="O26" s="46" t="str">
        <f ca="1">IFERROR(__xludf.DUMMYFUNCTION("""COMPUTED_VALUE"""),"001")</f>
        <v>001</v>
      </c>
      <c r="P26" s="46" t="str">
        <f ca="1">IFERROR(__xludf.DUMMYFUNCTION("""COMPUTED_VALUE"""),"0541")</f>
        <v>0541</v>
      </c>
      <c r="Q26" s="47" t="str">
        <f ca="1">IFERROR(__xludf.DUMMYFUNCTION("""COMPUTED_VALUE"""),"232483")</f>
        <v>232483</v>
      </c>
      <c r="R26" s="48">
        <f t="shared" ca="1" si="0"/>
        <v>3509.2</v>
      </c>
    </row>
    <row r="27" spans="1:18" ht="26.1" customHeight="1" x14ac:dyDescent="0.2">
      <c r="A27" s="35" t="str">
        <f ca="1">IFERROR(__xludf.DUMMYFUNCTION("""COMPUTED_VALUE"""),"Arraias")</f>
        <v>Arraias</v>
      </c>
      <c r="B27" s="36" t="str">
        <f ca="1">IFERROR(__xludf.DUMMYFUNCTION("""COMPUTED_VALUE"""),"Parana")</f>
        <v>Parana</v>
      </c>
      <c r="C27" s="36" t="str">
        <f ca="1">IFERROR(__xludf.DUMMYFUNCTION("""COMPUTED_VALUE"""),"ASSOC. DE APOIO A ESC. EST. REUNIDA FLORESTA")</f>
        <v>ASSOC. DE APOIO A ESC. EST. REUNIDA FLORESTA</v>
      </c>
      <c r="D27" s="36" t="str">
        <f ca="1">IFERROR(__xludf.DUMMYFUNCTION("""COMPUTED_VALUE"""),"03834797000110")</f>
        <v>03834797000110</v>
      </c>
      <c r="E27" s="37">
        <v>0</v>
      </c>
      <c r="F27" s="38">
        <v>0</v>
      </c>
      <c r="G27" s="38">
        <v>0</v>
      </c>
      <c r="H27" s="38">
        <v>828</v>
      </c>
      <c r="I27" s="38">
        <v>63.599999999999902</v>
      </c>
      <c r="J27" s="38">
        <v>0</v>
      </c>
      <c r="K27" s="38">
        <v>424.8</v>
      </c>
      <c r="L27" s="38">
        <v>0</v>
      </c>
      <c r="M27" s="38">
        <v>0</v>
      </c>
      <c r="N27" s="38">
        <v>268.8</v>
      </c>
      <c r="O27" s="39" t="str">
        <f ca="1">IFERROR(__xludf.DUMMYFUNCTION("""COMPUTED_VALUE"""),"001")</f>
        <v>001</v>
      </c>
      <c r="P27" s="39" t="str">
        <f ca="1">IFERROR(__xludf.DUMMYFUNCTION("""COMPUTED_VALUE"""),"4790")</f>
        <v>4790</v>
      </c>
      <c r="Q27" s="40" t="str">
        <f ca="1">IFERROR(__xludf.DUMMYFUNCTION("""COMPUTED_VALUE"""),"113247")</f>
        <v>113247</v>
      </c>
      <c r="R27" s="41">
        <f t="shared" ca="1" si="0"/>
        <v>1585.1999999999998</v>
      </c>
    </row>
    <row r="28" spans="1:18" ht="26.1" customHeight="1" x14ac:dyDescent="0.2">
      <c r="A28" s="42" t="str">
        <f ca="1">IFERROR(__xludf.DUMMYFUNCTION("""COMPUTED_VALUE"""),"Arraias")</f>
        <v>Arraias</v>
      </c>
      <c r="B28" s="43" t="str">
        <f ca="1">IFERROR(__xludf.DUMMYFUNCTION("""COMPUTED_VALUE"""),"Parana")</f>
        <v>Parana</v>
      </c>
      <c r="C28" s="43" t="str">
        <f ca="1">IFERROR(__xludf.DUMMYFUNCTION("""COMPUTED_VALUE"""),"A.A. A ESC. EST. REUNIDA SANTA RITA DO RIO PALMA")</f>
        <v>A.A. A ESC. EST. REUNIDA SANTA RITA DO RIO PALMA</v>
      </c>
      <c r="D28" s="43" t="str">
        <f ca="1">IFERROR(__xludf.DUMMYFUNCTION("""COMPUTED_VALUE"""),"03834784000141")</f>
        <v>03834784000141</v>
      </c>
      <c r="E28" s="44">
        <v>0</v>
      </c>
      <c r="F28" s="45">
        <v>0</v>
      </c>
      <c r="G28" s="45">
        <v>0</v>
      </c>
      <c r="H28" s="45">
        <v>691.2</v>
      </c>
      <c r="I28" s="45">
        <v>0</v>
      </c>
      <c r="J28" s="45">
        <v>0</v>
      </c>
      <c r="K28" s="45">
        <v>324</v>
      </c>
      <c r="L28" s="45">
        <v>0</v>
      </c>
      <c r="M28" s="45">
        <v>0</v>
      </c>
      <c r="N28" s="45">
        <v>198.4</v>
      </c>
      <c r="O28" s="46" t="str">
        <f ca="1">IFERROR(__xludf.DUMMYFUNCTION("""COMPUTED_VALUE"""),"001")</f>
        <v>001</v>
      </c>
      <c r="P28" s="46" t="str">
        <f ca="1">IFERROR(__xludf.DUMMYFUNCTION("""COMPUTED_VALUE"""),"4790")</f>
        <v>4790</v>
      </c>
      <c r="Q28" s="47" t="str">
        <f ca="1">IFERROR(__xludf.DUMMYFUNCTION("""COMPUTED_VALUE"""),"113638")</f>
        <v>113638</v>
      </c>
      <c r="R28" s="48">
        <f t="shared" ca="1" si="0"/>
        <v>1213.6000000000001</v>
      </c>
    </row>
  </sheetData>
  <autoFilter ref="A9:R28"/>
  <customSheetViews>
    <customSheetView guid="{2E58B921-18B6-49A1-A839-7668A44E1D3F}" filter="1" showAutoFilter="1">
      <pageMargins left="0.511811024" right="0.511811024" top="0.78740157499999996" bottom="0.78740157499999996" header="0.31496062000000002" footer="0.31496062000000002"/>
      <autoFilter ref="A7:R439"/>
    </customSheetView>
  </customSheetViews>
  <mergeCells count="2">
    <mergeCell ref="A5:R5"/>
    <mergeCell ref="O6:Q6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REP_FNDE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Analene Aquino Câmara Aguiar</cp:lastModifiedBy>
  <dcterms:created xsi:type="dcterms:W3CDTF">2019-08-09T12:54:21Z</dcterms:created>
  <dcterms:modified xsi:type="dcterms:W3CDTF">2019-08-09T13:15:12Z</dcterms:modified>
</cp:coreProperties>
</file>